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LLM Calculator" sheetId="2" state="visible" r:id="rId4"/>
    <sheet name="Cost Model" sheetId="3" state="visible" r:id="rId5"/>
    <sheet name="Stack Crossover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<sst xmlns="http://schemas.openxmlformats.org/spreadsheetml/2006/main" count="93" uniqueCount="91">
  <si>
    <t xml:space="preserve">AI Call Center Cost Model - Assumptions</t>
  </si>
  <si>
    <t xml:space="preserve">Blue cells are inputs you edit. Yellow fill marks the ones to replace with real quotes and measurements.</t>
  </si>
  <si>
    <t xml:space="preserve">Demand</t>
  </si>
  <si>
    <t xml:space="preserve">Calls per month</t>
  </si>
  <si>
    <t xml:space="preserve">Average handle time (minutes)</t>
  </si>
  <si>
    <t xml:space="preserve">Conversation minutes per month</t>
  </si>
  <si>
    <t xml:space="preserve">Human baseline</t>
  </si>
  <si>
    <t xml:space="preserve">Loaded human cost per agent-minute</t>
  </si>
  <si>
    <t xml:space="preserve">Source: replace with your BPO/agent fully-loaded rate (wages, benefits, telecom, supervision).</t>
  </si>
  <si>
    <t xml:space="preserve">AI performance</t>
  </si>
  <si>
    <t xml:space="preserve">Containment rate (calls fully resolved by AI)</t>
  </si>
  <si>
    <t xml:space="preserve">AI minutes before transfer (non-contained calls)</t>
  </si>
  <si>
    <t xml:space="preserve">Human minutes after transfer (non-contained calls)</t>
  </si>
  <si>
    <t xml:space="preserve">Per-minute unit prices by scenario</t>
  </si>
  <si>
    <t xml:space="preserve">List</t>
  </si>
  <si>
    <t xml:space="preserve">Negotiated</t>
  </si>
  <si>
    <t xml:space="preserve">Hybrid self-host</t>
  </si>
  <si>
    <t xml:space="preserve">Telephony (per minute)</t>
  </si>
  <si>
    <t xml:space="preserve">Speech-to-text (per minute)</t>
  </si>
  <si>
    <t xml:space="preserve">Text-to-speech (per minute)</t>
  </si>
  <si>
    <t xml:space="preserve">LLM (per minute)</t>
  </si>
  <si>
    <t xml:space="preserve">List and Negotiated LLM cost flow from the LLM Calculator sheet (token math with prompt caching). Hybrid assumes a self-hosted or renegotiated model rate.</t>
  </si>
  <si>
    <t xml:space="preserve">Fixed monthly (platform, orchestration compute, numbers)</t>
  </si>
  <si>
    <t xml:space="preserve">Fixed monthly cost</t>
  </si>
  <si>
    <t xml:space="preserve">Hybrid self-host carries GPU fleet + ops staffing here. Replace with your own infra estimate.</t>
  </si>
  <si>
    <t xml:space="preserve">LLM Cost per Minute - token math with prompt caching</t>
  </si>
  <si>
    <t xml:space="preserve">Blue inputs. Measure turns and tokens from production [llm] log lines, then replace.</t>
  </si>
  <si>
    <t xml:space="preserve">Claude Haiku 4.5 pricing (per million tokens)</t>
  </si>
  <si>
    <t xml:space="preserve">Input</t>
  </si>
  <si>
    <t xml:space="preserve">Output</t>
  </si>
  <si>
    <t xml:space="preserve">Cache read</t>
  </si>
  <si>
    <t xml:space="preserve">Cache write</t>
  </si>
  <si>
    <t xml:space="preserve">Conversation shape (per call)</t>
  </si>
  <si>
    <t xml:space="preserve">Turns per call</t>
  </si>
  <si>
    <t xml:space="preserve">Cached prefix tokens (system + knowledge + history avg)</t>
  </si>
  <si>
    <t xml:space="preserve">New input tokens per turn (latest utterance + tool results)</t>
  </si>
  <si>
    <t xml:space="preserve">Output tokens per turn</t>
  </si>
  <si>
    <t xml:space="preserve">Cache hit rate across turns</t>
  </si>
  <si>
    <t xml:space="preserve">LLM cost per conversation minute</t>
  </si>
  <si>
    <t xml:space="preserve">Per call: prefix tokens read at the cache-blended rate each turn, new tokens at input rate, output at output rate, plus one cache write of the prefix. Set cache hit rate to 0% to see the uncached cost.</t>
  </si>
  <si>
    <t xml:space="preserve">LLM cost per call</t>
  </si>
  <si>
    <t xml:space="preserve">Monthly Economics by Scenario</t>
  </si>
  <si>
    <t xml:space="preserve">Human only</t>
  </si>
  <si>
    <t xml:space="preserve">AI - List</t>
  </si>
  <si>
    <t xml:space="preserve">AI - Negotiated</t>
  </si>
  <si>
    <t xml:space="preserve">AI - Hybrid self-host</t>
  </si>
  <si>
    <t xml:space="preserve">AI minutes per month</t>
  </si>
  <si>
    <t xml:space="preserve">AI variable cost per minute</t>
  </si>
  <si>
    <t xml:space="preserve">AI variable cost</t>
  </si>
  <si>
    <t xml:space="preserve">Human minutes per month</t>
  </si>
  <si>
    <t xml:space="preserve">Human cost</t>
  </si>
  <si>
    <t xml:space="preserve">Fixed monthly</t>
  </si>
  <si>
    <t xml:space="preserve">Total monthly cost</t>
  </si>
  <si>
    <t xml:space="preserve">Cost per call</t>
  </si>
  <si>
    <t xml:space="preserve">Savings vs human only</t>
  </si>
  <si>
    <t xml:space="preserve">-</t>
  </si>
  <si>
    <t xml:space="preserve">Savings %</t>
  </si>
  <si>
    <t xml:space="preserve">Containment sensitivity (Negotiated scenario, total monthly cost)</t>
  </si>
  <si>
    <t xml:space="preserve">Containment rate</t>
  </si>
  <si>
    <t xml:space="preserve">Total monthly</t>
  </si>
  <si>
    <t xml:space="preserve">Savings vs human</t>
  </si>
  <si>
    <t xml:space="preserve">Notes</t>
  </si>
  <si>
    <t xml:space="preserve">Human-only baseline assumes every call is handled by an agent for the full handle time.</t>
  </si>
  <si>
    <t xml:space="preserve">AI scenarios run AI on every call; non-contained calls transfer to a human after the AI minutes in Assumptions B15.</t>
  </si>
  <si>
    <t xml:space="preserve">All unit prices are placeholders at Aug 2026 list rates until replaced with committed-volume quotes.</t>
  </si>
  <si>
    <t xml:space="preserve">Which Stack Is Cheapest at Which Volume</t>
  </si>
  <si>
    <t xml:space="preserve">Formula-driven breakevens. Blue inputs; replace with real quotes and the crossovers move.</t>
  </si>
  <si>
    <t xml:space="preserve">Inputs</t>
  </si>
  <si>
    <t xml:space="preserve">Managed-API variable cost (per minute, negotiated)</t>
  </si>
  <si>
    <t xml:space="preserve">Managed-API variable cost (per minute, list)</t>
  </si>
  <si>
    <t xml:space="preserve">One always-on GPU (L4 class, per month)</t>
  </si>
  <si>
    <t xml:space="preserve">Redundancy factor (phone lines need failover)</t>
  </si>
  <si>
    <t xml:space="preserve">Full self-host effective rate (per minute, all-in GPUs)</t>
  </si>
  <si>
    <t xml:space="preserve">Ops overhead for a 24/7 GPU fleet (per month, loaded)</t>
  </si>
  <si>
    <t xml:space="preserve">Breakevens</t>
  </si>
  <si>
    <t xml:space="preserve">Single-GPU self-host breaks even at (minutes/month)</t>
  </si>
  <si>
    <t xml:space="preserve">...which is about (5-minute calls/month)</t>
  </si>
  <si>
    <t xml:space="preserve">Full self-host (with ops team) beats negotiated APIs at (minutes/month)</t>
  </si>
  <si>
    <t xml:space="preserve">Verdict by volume tier</t>
  </si>
  <si>
    <t xml:space="preserve">Tier</t>
  </si>
  <si>
    <t xml:space="preserve">Cheapest stack</t>
  </si>
  <si>
    <t xml:space="preserve">Below the single-GPU breakeven (B13)</t>
  </si>
  <si>
    <t xml:space="preserve">Managed APIs: Deepgram + cached Haiku (Elle today)</t>
  </si>
  <si>
    <t xml:space="preserve">Between B13 and the fleet crossover (B15)</t>
  </si>
  <si>
    <t xml:space="preserve">Hybrid: open STT/TTS on a small GPU fleet + cached hosted LLM</t>
  </si>
  <si>
    <t xml:space="preserve">Above the fleet crossover (B15)</t>
  </si>
  <si>
    <t xml:space="preserve">Full open self-host on GKE (open talker + open thinker)</t>
  </si>
  <si>
    <t xml:space="preserve">Reference points</t>
  </si>
  <si>
    <t xml:space="preserve">Elle today: roughly 100-500 minutes/month, far below B13. Managed APIs win by ~100x.</t>
  </si>
  <si>
    <t xml:space="preserve">Call-center scenario: 6,250,000 minutes/month, far above B15. Full self-host wins.</t>
  </si>
  <si>
    <t xml:space="preserve">The gray zone between breakevens narrows if GPUs are committed-use discounted, widens if the ops burden is priced honestly.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</si>
</sst>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.0"/>
    <numFmt numFmtId="167" formatCode="\$#,##0.00"/>
    <numFmt numFmtId="168" formatCode="0.0%"/>
    <numFmt numFmtId="169" formatCode="\$0.0000"/>
    <numFmt numFmtId="170" formatCode="\$#,##0"/>
    <numFmt numFmtId="171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8"/>
      <name val="Arial"/>
      <family val="0"/>
      <charset val="1"/>
    </font>
    <font>
      <sz val="11"/>
      <color rgb="FF008000"/>
      <name val="Arial"/>
      <family val="0"/>
      <charset val="1"/>
    </font>
    <font>
      <sz val="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5" min="2" style="0" width="16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1250000</v>
      </c>
    </row>
    <row r="6" customFormat="false" ht="15" hidden="false" customHeight="false" outlineLevel="0" collapsed="false">
      <c r="A6" s="4" t="s">
        <v>4</v>
      </c>
      <c r="B6" s="6" t="n">
        <v>5</v>
      </c>
    </row>
    <row r="7" customFormat="false" ht="15" hidden="false" customHeight="false" outlineLevel="0" collapsed="false">
      <c r="A7" s="4" t="s">
        <v>5</v>
      </c>
      <c r="B7" s="7" t="n">
        <f aca="false">B5*B6</f>
        <v>6250000</v>
      </c>
    </row>
    <row r="9" customFormat="false" ht="15" hidden="false" customHeight="false" outlineLevel="0" collapsed="false">
      <c r="A9" s="3" t="s">
        <v>6</v>
      </c>
    </row>
    <row r="10" customFormat="false" ht="15" hidden="false" customHeight="false" outlineLevel="0" collapsed="false">
      <c r="A10" s="4" t="s">
        <v>7</v>
      </c>
      <c r="B10" s="8" t="n">
        <v>0.9</v>
      </c>
    </row>
    <row r="11" customFormat="false" ht="15" hidden="false" customHeight="false" outlineLevel="0" collapsed="false">
      <c r="A11" s="9" t="s">
        <v>8</v>
      </c>
    </row>
    <row r="13" customFormat="false" ht="1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4" t="s">
        <v>10</v>
      </c>
      <c r="B14" s="10" t="n">
        <v>0.6</v>
      </c>
    </row>
    <row r="15" customFormat="false" ht="15" hidden="false" customHeight="false" outlineLevel="0" collapsed="false">
      <c r="A15" s="4" t="s">
        <v>11</v>
      </c>
      <c r="B15" s="6" t="n">
        <v>1.5</v>
      </c>
    </row>
    <row r="16" customFormat="false" ht="15" hidden="false" customHeight="false" outlineLevel="0" collapsed="false">
      <c r="A16" s="4" t="s">
        <v>12</v>
      </c>
      <c r="B16" s="6" t="n">
        <v>4</v>
      </c>
    </row>
    <row r="18" customFormat="false" ht="15" hidden="false" customHeight="false" outlineLevel="0" collapsed="false">
      <c r="A18" s="3" t="s">
        <v>13</v>
      </c>
      <c r="B18" s="3" t="s">
        <v>14</v>
      </c>
      <c r="C18" s="3" t="s">
        <v>15</v>
      </c>
      <c r="D18" s="3" t="s">
        <v>16</v>
      </c>
    </row>
    <row r="19" customFormat="false" ht="15" hidden="false" customHeight="false" outlineLevel="0" collapsed="false">
      <c r="A19" s="4" t="s">
        <v>17</v>
      </c>
      <c r="B19" s="11" t="n">
        <v>0.009</v>
      </c>
      <c r="C19" s="11" t="n">
        <v>0.0045</v>
      </c>
      <c r="D19" s="11" t="n">
        <v>0.0045</v>
      </c>
    </row>
    <row r="20" customFormat="false" ht="15" hidden="false" customHeight="false" outlineLevel="0" collapsed="false">
      <c r="A20" s="4" t="s">
        <v>18</v>
      </c>
      <c r="B20" s="11" t="n">
        <v>0.0077</v>
      </c>
      <c r="C20" s="11" t="n">
        <v>0.004</v>
      </c>
      <c r="D20" s="11" t="n">
        <v>0.0015</v>
      </c>
    </row>
    <row r="21" customFormat="false" ht="15" hidden="false" customHeight="false" outlineLevel="0" collapsed="false">
      <c r="A21" s="4" t="s">
        <v>19</v>
      </c>
      <c r="B21" s="11" t="n">
        <v>0.0056</v>
      </c>
      <c r="C21" s="11" t="n">
        <v>0.003</v>
      </c>
      <c r="D21" s="11" t="n">
        <v>0.001</v>
      </c>
    </row>
    <row r="22" customFormat="false" ht="15" hidden="false" customHeight="false" outlineLevel="0" collapsed="false">
      <c r="A22" s="4" t="s">
        <v>20</v>
      </c>
      <c r="B22" s="12" t="n">
        <f aca="false">'LLM Calculator'!B16</f>
        <v>0.007028</v>
      </c>
      <c r="C22" s="12" t="n">
        <f aca="false">'LLM Calculator'!B16</f>
        <v>0.007028</v>
      </c>
      <c r="D22" s="11" t="n">
        <v>0.003</v>
      </c>
    </row>
    <row r="23" customFormat="false" ht="15" hidden="false" customHeight="false" outlineLevel="0" collapsed="false">
      <c r="A23" s="9" t="s">
        <v>21</v>
      </c>
    </row>
    <row r="25" customFormat="false" ht="15" hidden="false" customHeight="false" outlineLevel="0" collapsed="false">
      <c r="A25" s="3" t="s">
        <v>22</v>
      </c>
    </row>
    <row r="26" customFormat="false" ht="15" hidden="false" customHeight="false" outlineLevel="0" collapsed="false">
      <c r="A26" s="4" t="s">
        <v>23</v>
      </c>
      <c r="B26" s="13" t="n">
        <v>2000</v>
      </c>
      <c r="C26" s="13" t="n">
        <v>2000</v>
      </c>
      <c r="D26" s="13" t="n">
        <v>25000</v>
      </c>
    </row>
    <row r="27" customFormat="false" ht="15" hidden="false" customHeight="false" outlineLevel="0" collapsed="false">
      <c r="A27" s="9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6"/>
  </cols>
  <sheetData>
    <row r="1" customFormat="false" ht="16.15" hidden="false" customHeight="false" outlineLevel="0" collapsed="false">
      <c r="A1" s="1" t="s">
        <v>25</v>
      </c>
    </row>
    <row r="2" customFormat="false" ht="15" hidden="false" customHeight="false" outlineLevel="0" collapsed="false">
      <c r="A2" s="2" t="s">
        <v>26</v>
      </c>
    </row>
    <row r="4" customFormat="false" ht="15" hidden="false" customHeight="false" outlineLevel="0" collapsed="false">
      <c r="A4" s="3" t="s">
        <v>27</v>
      </c>
    </row>
    <row r="5" customFormat="false" ht="15" hidden="false" customHeight="false" outlineLevel="0" collapsed="false">
      <c r="A5" s="4" t="s">
        <v>28</v>
      </c>
      <c r="B5" s="14" t="n">
        <v>1</v>
      </c>
    </row>
    <row r="6" customFormat="false" ht="15" hidden="false" customHeight="false" outlineLevel="0" collapsed="false">
      <c r="A6" s="4" t="s">
        <v>29</v>
      </c>
      <c r="B6" s="14" t="n">
        <v>5</v>
      </c>
    </row>
    <row r="7" customFormat="false" ht="15" hidden="false" customHeight="false" outlineLevel="0" collapsed="false">
      <c r="A7" s="4" t="s">
        <v>30</v>
      </c>
      <c r="B7" s="14" t="n">
        <v>0.1</v>
      </c>
    </row>
    <row r="8" customFormat="false" ht="15" hidden="false" customHeight="false" outlineLevel="0" collapsed="false">
      <c r="A8" s="4" t="s">
        <v>31</v>
      </c>
      <c r="B8" s="14" t="n">
        <v>1.25</v>
      </c>
    </row>
    <row r="10" customFormat="false" ht="15" hidden="false" customHeight="false" outlineLevel="0" collapsed="false">
      <c r="A10" s="3" t="s">
        <v>32</v>
      </c>
    </row>
    <row r="11" customFormat="false" ht="15" hidden="false" customHeight="false" outlineLevel="0" collapsed="false">
      <c r="A11" s="4" t="s">
        <v>33</v>
      </c>
      <c r="B11" s="15" t="n">
        <v>13</v>
      </c>
    </row>
    <row r="12" customFormat="false" ht="15" hidden="false" customHeight="false" outlineLevel="0" collapsed="false">
      <c r="A12" s="4" t="s">
        <v>34</v>
      </c>
      <c r="B12" s="5" t="n">
        <v>7000</v>
      </c>
    </row>
    <row r="13" customFormat="false" ht="15" hidden="false" customHeight="false" outlineLevel="0" collapsed="false">
      <c r="A13" s="4" t="s">
        <v>35</v>
      </c>
      <c r="B13" s="5" t="n">
        <v>150</v>
      </c>
    </row>
    <row r="14" customFormat="false" ht="15" hidden="false" customHeight="false" outlineLevel="0" collapsed="false">
      <c r="A14" s="4" t="s">
        <v>36</v>
      </c>
      <c r="B14" s="5" t="n">
        <v>110</v>
      </c>
    </row>
    <row r="15" customFormat="false" ht="15" hidden="false" customHeight="false" outlineLevel="0" collapsed="false">
      <c r="A15" s="4" t="s">
        <v>37</v>
      </c>
      <c r="B15" s="10" t="n">
        <v>0.9</v>
      </c>
    </row>
    <row r="16" customFormat="false" ht="15" hidden="false" customHeight="false" outlineLevel="0" collapsed="false">
      <c r="A16" s="3" t="s">
        <v>38</v>
      </c>
      <c r="B16" s="16" t="n">
        <f aca="false">((B11*B12*(B15*B7+(1-B15)*B5)+B11*B13*B5+B11*B14*B6)/1000000+B12*B8/1000000)/Assumptions!B6</f>
        <v>0.007028</v>
      </c>
    </row>
    <row r="17" customFormat="false" ht="15" hidden="false" customHeight="false" outlineLevel="0" collapsed="false">
      <c r="A17" s="9" t="s">
        <v>39</v>
      </c>
    </row>
    <row r="19" customFormat="false" ht="15" hidden="false" customHeight="false" outlineLevel="0" collapsed="false">
      <c r="A19" s="4" t="s">
        <v>40</v>
      </c>
      <c r="B19" s="16" t="n">
        <f aca="false">B16*Assumptions!B6</f>
        <v>0.03514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5" min="2" style="0" width="17"/>
  </cols>
  <sheetData>
    <row r="1" customFormat="false" ht="16.15" hidden="false" customHeight="false" outlineLevel="0" collapsed="false">
      <c r="A1" s="1" t="s">
        <v>41</v>
      </c>
    </row>
    <row r="3" customFormat="false" ht="15" hidden="false" customHeight="false" outlineLevel="0" collapsed="false">
      <c r="B3" s="17" t="s">
        <v>42</v>
      </c>
      <c r="C3" s="17" t="s">
        <v>43</v>
      </c>
      <c r="D3" s="17" t="s">
        <v>44</v>
      </c>
      <c r="E3" s="17" t="s">
        <v>45</v>
      </c>
    </row>
    <row r="5" customFormat="false" ht="15" hidden="false" customHeight="false" outlineLevel="0" collapsed="false">
      <c r="A5" s="4" t="s">
        <v>46</v>
      </c>
      <c r="B5" s="7" t="n">
        <v>0</v>
      </c>
      <c r="C5" s="7" t="n">
        <f aca="false">Assumptions!B5*(Assumptions!B14*Assumptions!B6+(1-Assumptions!B14)*Assumptions!B15)</f>
        <v>4500000</v>
      </c>
      <c r="D5" s="7" t="n">
        <f aca="false">Assumptions!B5*(Assumptions!B14*Assumptions!B6+(1-Assumptions!B14)*Assumptions!B15)</f>
        <v>4500000</v>
      </c>
      <c r="E5" s="7" t="n">
        <f aca="false">Assumptions!B5*(Assumptions!B14*Assumptions!B6+(1-Assumptions!B14)*Assumptions!B15)</f>
        <v>4500000</v>
      </c>
    </row>
    <row r="6" customFormat="false" ht="15" hidden="false" customHeight="false" outlineLevel="0" collapsed="false">
      <c r="A6" s="4" t="s">
        <v>47</v>
      </c>
      <c r="B6" s="16" t="n">
        <v>0</v>
      </c>
      <c r="C6" s="16" t="n">
        <f aca="false">SUM(Assumptions!B19:B22)</f>
        <v>0.029328</v>
      </c>
      <c r="D6" s="16" t="n">
        <f aca="false">SUM(Assumptions!C19:C22)</f>
        <v>0.018528</v>
      </c>
      <c r="E6" s="16" t="n">
        <f aca="false">SUM(Assumptions!D19:D22)</f>
        <v>0.01</v>
      </c>
    </row>
    <row r="7" customFormat="false" ht="15" hidden="false" customHeight="false" outlineLevel="0" collapsed="false">
      <c r="A7" s="4" t="s">
        <v>48</v>
      </c>
      <c r="B7" s="18" t="n">
        <v>0</v>
      </c>
      <c r="C7" s="18" t="n">
        <f aca="false">C5*C6</f>
        <v>131976</v>
      </c>
      <c r="D7" s="18" t="n">
        <f aca="false">D5*D6</f>
        <v>83376</v>
      </c>
      <c r="E7" s="18" t="n">
        <f aca="false">E5*E6</f>
        <v>45000</v>
      </c>
    </row>
    <row r="8" customFormat="false" ht="15" hidden="false" customHeight="false" outlineLevel="0" collapsed="false">
      <c r="A8" s="4" t="s">
        <v>49</v>
      </c>
      <c r="B8" s="7" t="n">
        <f aca="false">Assumptions!B7</f>
        <v>6250000</v>
      </c>
      <c r="C8" s="7" t="n">
        <f aca="false">Assumptions!B5*(1-Assumptions!B14)*Assumptions!B16</f>
        <v>2000000</v>
      </c>
      <c r="D8" s="7" t="n">
        <f aca="false">Assumptions!B5*(1-Assumptions!B14)*Assumptions!B16</f>
        <v>2000000</v>
      </c>
      <c r="E8" s="7" t="n">
        <f aca="false">Assumptions!B5*(1-Assumptions!B14)*Assumptions!B16</f>
        <v>2000000</v>
      </c>
    </row>
    <row r="9" customFormat="false" ht="15" hidden="false" customHeight="false" outlineLevel="0" collapsed="false">
      <c r="A9" s="4" t="s">
        <v>50</v>
      </c>
      <c r="B9" s="18" t="n">
        <f aca="false">B8*Assumptions!B10</f>
        <v>5625000</v>
      </c>
      <c r="C9" s="18" t="n">
        <f aca="false">C8*Assumptions!B10</f>
        <v>1800000</v>
      </c>
      <c r="D9" s="18" t="n">
        <f aca="false">D8*Assumptions!B10</f>
        <v>1800000</v>
      </c>
      <c r="E9" s="18" t="n">
        <f aca="false">E8*Assumptions!B10</f>
        <v>1800000</v>
      </c>
    </row>
    <row r="10" customFormat="false" ht="15" hidden="false" customHeight="false" outlineLevel="0" collapsed="false">
      <c r="A10" s="4" t="s">
        <v>51</v>
      </c>
      <c r="B10" s="18" t="n">
        <v>0</v>
      </c>
      <c r="C10" s="18" t="n">
        <f aca="false">Assumptions!B26</f>
        <v>2000</v>
      </c>
      <c r="D10" s="18" t="n">
        <f aca="false">Assumptions!C26</f>
        <v>2000</v>
      </c>
      <c r="E10" s="18" t="n">
        <f aca="false">Assumptions!D26</f>
        <v>25000</v>
      </c>
    </row>
    <row r="12" customFormat="false" ht="15" hidden="false" customHeight="false" outlineLevel="0" collapsed="false">
      <c r="A12" s="3" t="s">
        <v>52</v>
      </c>
      <c r="B12" s="19" t="n">
        <f aca="false">B7+B9+B10</f>
        <v>5625000</v>
      </c>
      <c r="C12" s="19" t="n">
        <f aca="false">C7+C9+C10</f>
        <v>1933976</v>
      </c>
      <c r="D12" s="19" t="n">
        <f aca="false">D7+D9+D10</f>
        <v>1885376</v>
      </c>
      <c r="E12" s="19" t="n">
        <f aca="false">E7+E9+E10</f>
        <v>1870000</v>
      </c>
    </row>
    <row r="13" customFormat="false" ht="15" hidden="false" customHeight="false" outlineLevel="0" collapsed="false">
      <c r="A13" s="4" t="s">
        <v>53</v>
      </c>
      <c r="B13" s="20" t="n">
        <f aca="false">B12/Assumptions!B5</f>
        <v>4.5</v>
      </c>
      <c r="C13" s="20" t="n">
        <f aca="false">C12/Assumptions!B5</f>
        <v>1.5471808</v>
      </c>
      <c r="D13" s="20" t="n">
        <f aca="false">D12/Assumptions!B5</f>
        <v>1.5083008</v>
      </c>
      <c r="E13" s="20" t="n">
        <f aca="false">E12/Assumptions!B5</f>
        <v>1.496</v>
      </c>
    </row>
    <row r="14" customFormat="false" ht="15" hidden="false" customHeight="false" outlineLevel="0" collapsed="false">
      <c r="A14" s="4" t="s">
        <v>54</v>
      </c>
      <c r="B14" s="4" t="s">
        <v>55</v>
      </c>
      <c r="C14" s="18" t="n">
        <f aca="false">$B$12-C12</f>
        <v>3691024</v>
      </c>
      <c r="D14" s="18" t="n">
        <f aca="false">$B$12-D12</f>
        <v>3739624</v>
      </c>
      <c r="E14" s="18" t="n">
        <f aca="false">$B$12-E12</f>
        <v>3755000</v>
      </c>
    </row>
    <row r="15" customFormat="false" ht="15" hidden="false" customHeight="false" outlineLevel="0" collapsed="false">
      <c r="A15" s="4" t="s">
        <v>56</v>
      </c>
      <c r="B15" s="4" t="s">
        <v>55</v>
      </c>
      <c r="C15" s="21" t="n">
        <f aca="false">IF($B$12=0,0,($B$12-C12)/$B$12)</f>
        <v>0.656182044444444</v>
      </c>
      <c r="D15" s="21" t="n">
        <f aca="false">IF($B$12=0,0,($B$12-D12)/$B$12)</f>
        <v>0.664822044444445</v>
      </c>
      <c r="E15" s="21" t="n">
        <f aca="false">IF($B$12=0,0,($B$12-E12)/$B$12)</f>
        <v>0.667555555555556</v>
      </c>
    </row>
    <row r="17" customFormat="false" ht="15" hidden="false" customHeight="false" outlineLevel="0" collapsed="false">
      <c r="A17" s="3" t="s">
        <v>57</v>
      </c>
    </row>
    <row r="18" customFormat="false" ht="15" hidden="false" customHeight="false" outlineLevel="0" collapsed="false">
      <c r="A18" s="3" t="s">
        <v>58</v>
      </c>
      <c r="B18" s="3" t="s">
        <v>59</v>
      </c>
      <c r="C18" s="3" t="s">
        <v>60</v>
      </c>
    </row>
    <row r="19" customFormat="false" ht="15" hidden="false" customHeight="false" outlineLevel="0" collapsed="false">
      <c r="A19" s="22" t="n">
        <v>0.4</v>
      </c>
      <c r="B19" s="18" t="n">
        <f aca="false">Assumptions!B5*(A19*Assumptions!B6+(1-A19)*Assumptions!B15)*$D$6+Assumptions!B5*(1-A19)*Assumptions!B16*Assumptions!B10+Assumptions!C26</f>
        <v>2769164</v>
      </c>
      <c r="C19" s="18" t="n">
        <f aca="false">$B$12-B19</f>
        <v>2855836</v>
      </c>
    </row>
    <row r="20" customFormat="false" ht="15" hidden="false" customHeight="false" outlineLevel="0" collapsed="false">
      <c r="A20" s="22" t="n">
        <v>0.6</v>
      </c>
      <c r="B20" s="18" t="n">
        <f aca="false">Assumptions!B5*(A20*Assumptions!B6+(1-A20)*Assumptions!B15)*$D$6+Assumptions!B5*(1-A20)*Assumptions!B16*Assumptions!B10+Assumptions!C26</f>
        <v>1885376</v>
      </c>
      <c r="C20" s="18" t="n">
        <f aca="false">$B$12-B20</f>
        <v>3739624</v>
      </c>
    </row>
    <row r="21" customFormat="false" ht="15" hidden="false" customHeight="false" outlineLevel="0" collapsed="false">
      <c r="A21" s="22" t="n">
        <v>0.8</v>
      </c>
      <c r="B21" s="18" t="n">
        <f aca="false">Assumptions!B5*(A21*Assumptions!B6+(1-A21)*Assumptions!B15)*$D$6+Assumptions!B5*(1-A21)*Assumptions!B16*Assumptions!B10+Assumptions!C26</f>
        <v>1001588</v>
      </c>
      <c r="C21" s="18" t="n">
        <f aca="false">$B$12-B21</f>
        <v>4623412</v>
      </c>
    </row>
    <row r="22" customFormat="false" ht="15" hidden="false" customHeight="false" outlineLevel="0" collapsed="false">
      <c r="A22" s="3" t="s">
        <v>61</v>
      </c>
    </row>
    <row r="23" customFormat="false" ht="15" hidden="false" customHeight="false" outlineLevel="0" collapsed="false">
      <c r="A23" s="23" t="s">
        <v>62</v>
      </c>
    </row>
    <row r="24" customFormat="false" ht="15" hidden="false" customHeight="false" outlineLevel="0" collapsed="false">
      <c r="A24" s="23" t="s">
        <v>63</v>
      </c>
    </row>
    <row r="25" customFormat="false" ht="15" hidden="false" customHeight="false" outlineLevel="0" collapsed="false">
      <c r="A25" s="23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8"/>
  </cols>
  <sheetData>
    <row r="1" customFormat="false" ht="16.15" hidden="false" customHeight="false" outlineLevel="0" collapsed="false">
      <c r="A1" s="1" t="s">
        <v>65</v>
      </c>
    </row>
    <row r="2" customFormat="false" ht="15" hidden="false" customHeight="false" outlineLevel="0" collapsed="false">
      <c r="A2" s="2" t="s">
        <v>66</v>
      </c>
    </row>
    <row r="4" customFormat="false" ht="15" hidden="false" customHeight="false" outlineLevel="0" collapsed="false">
      <c r="A4" s="3" t="s">
        <v>67</v>
      </c>
    </row>
    <row r="5" customFormat="false" ht="15" hidden="false" customHeight="false" outlineLevel="0" collapsed="false">
      <c r="A5" s="4" t="s">
        <v>68</v>
      </c>
      <c r="B5" s="11" t="n">
        <v>0.013</v>
      </c>
    </row>
    <row r="6" customFormat="false" ht="15" hidden="false" customHeight="false" outlineLevel="0" collapsed="false">
      <c r="A6" s="4" t="s">
        <v>69</v>
      </c>
      <c r="B6" s="24" t="n">
        <v>0.021</v>
      </c>
    </row>
    <row r="7" customFormat="false" ht="15" hidden="false" customHeight="false" outlineLevel="0" collapsed="false">
      <c r="A7" s="4" t="s">
        <v>70</v>
      </c>
      <c r="B7" s="13" t="n">
        <v>520</v>
      </c>
    </row>
    <row r="8" customFormat="false" ht="15" hidden="false" customHeight="false" outlineLevel="0" collapsed="false">
      <c r="A8" s="4" t="s">
        <v>71</v>
      </c>
      <c r="B8" s="15" t="n">
        <v>2</v>
      </c>
    </row>
    <row r="9" customFormat="false" ht="15" hidden="false" customHeight="false" outlineLevel="0" collapsed="false">
      <c r="A9" s="4" t="s">
        <v>72</v>
      </c>
      <c r="B9" s="11" t="n">
        <v>0.007</v>
      </c>
    </row>
    <row r="10" customFormat="false" ht="15" hidden="false" customHeight="false" outlineLevel="0" collapsed="false">
      <c r="A10" s="4" t="s">
        <v>73</v>
      </c>
      <c r="B10" s="13" t="n">
        <v>25000</v>
      </c>
    </row>
    <row r="12" customFormat="false" ht="15" hidden="false" customHeight="false" outlineLevel="0" collapsed="false">
      <c r="A12" s="3" t="s">
        <v>74</v>
      </c>
    </row>
    <row r="13" customFormat="false" ht="15" hidden="false" customHeight="false" outlineLevel="0" collapsed="false">
      <c r="A13" s="4" t="s">
        <v>75</v>
      </c>
      <c r="B13" s="7" t="n">
        <f aca="false">(B7*B8)/B5</f>
        <v>80000</v>
      </c>
    </row>
    <row r="14" customFormat="false" ht="15" hidden="false" customHeight="false" outlineLevel="0" collapsed="false">
      <c r="A14" s="4" t="s">
        <v>76</v>
      </c>
      <c r="B14" s="7" t="n">
        <f aca="false">B13/5</f>
        <v>16000</v>
      </c>
    </row>
    <row r="15" customFormat="false" ht="15" hidden="false" customHeight="false" outlineLevel="0" collapsed="false">
      <c r="A15" s="4" t="s">
        <v>77</v>
      </c>
      <c r="B15" s="7" t="n">
        <f aca="false">B10/(B5-B9)</f>
        <v>4166666.66666667</v>
      </c>
    </row>
    <row r="16" customFormat="false" ht="15" hidden="false" customHeight="false" outlineLevel="0" collapsed="false">
      <c r="A16" s="4" t="s">
        <v>76</v>
      </c>
      <c r="B16" s="7" t="n">
        <f aca="false">B15/5</f>
        <v>833333.333333333</v>
      </c>
    </row>
    <row r="18" customFormat="false" ht="15" hidden="false" customHeight="false" outlineLevel="0" collapsed="false">
      <c r="A18" s="3" t="s">
        <v>78</v>
      </c>
    </row>
    <row r="19" customFormat="false" ht="15" hidden="false" customHeight="false" outlineLevel="0" collapsed="false">
      <c r="A19" s="17" t="s">
        <v>79</v>
      </c>
      <c r="B19" s="17" t="s">
        <v>80</v>
      </c>
    </row>
    <row r="20" customFormat="false" ht="15" hidden="false" customHeight="false" outlineLevel="0" collapsed="false">
      <c r="A20" s="4" t="s">
        <v>81</v>
      </c>
      <c r="B20" s="4" t="s">
        <v>82</v>
      </c>
    </row>
    <row r="21" customFormat="false" ht="15" hidden="false" customHeight="false" outlineLevel="0" collapsed="false">
      <c r="A21" s="4" t="s">
        <v>83</v>
      </c>
      <c r="B21" s="4" t="s">
        <v>84</v>
      </c>
    </row>
    <row r="22" customFormat="false" ht="15" hidden="false" customHeight="false" outlineLevel="0" collapsed="false">
      <c r="A22" s="4" t="s">
        <v>85</v>
      </c>
      <c r="B22" s="4" t="s">
        <v>86</v>
      </c>
    </row>
    <row r="24" customFormat="false" ht="15" hidden="false" customHeight="false" outlineLevel="0" collapsed="false">
      <c r="A24" s="3" t="s">
        <v>87</v>
      </c>
    </row>
    <row r="25" customFormat="false" ht="15" hidden="false" customHeight="false" outlineLevel="0" collapsed="false">
      <c r="A25" s="23" t="s">
        <v>88</v>
      </c>
    </row>
    <row r="26" customFormat="false" ht="15" hidden="false" customHeight="false" outlineLevel="0" collapsed="false">
      <c r="A26" s="23" t="s">
        <v>89</v>
      </c>
    </row>
    <row r="27" customFormat="false" ht="15" hidden="false" customHeight="false" outlineLevel="0" collapsed="false">
      <c r="A27" s="2" t="s">
        <v>90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2026-08-25T16:21:04Z</dcterms:created>
  <dc:creator>openpyxl</dc:creator>
  <dc:description/>
  <dc:language>en-US</dc:language>
  <cp:lastModifiedBy/>
  <dcterms:modified xsi:type="dcterms:W3CDTF">2026-08-25T16:21:04Z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